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СО\"/>
    </mc:Choice>
  </mc:AlternateContent>
  <workbookProtection workbookAlgorithmName="SHA-512" workbookHashValue="oigAgavhNZ8M4xddu9z6Nd0syJmTEKl16GOnOzGCQdNRUGgKNTzWskPF19cl9uxRwfQ6E/ItaiTtYdU+UtsbEA==" workbookSaltValue="GSB7Sy8fFPkyWHvNiqOwyg==" workbookSpinCount="100000" lockStructure="1"/>
  <bookViews>
    <workbookView xWindow="0" yWindow="0" windowWidth="28800" windowHeight="11130" tabRatio="894"/>
  </bookViews>
  <sheets>
    <sheet name="2024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'2024 г'!#REF!</definedName>
    <definedName name="_xlnm._FilterDatabase" localSheetId="1" hidden="1">Расчет!#REF!</definedName>
    <definedName name="_xlnm.Print_Titles" localSheetId="0">'2024 г'!$A:$B,'2024 г'!#REF!</definedName>
    <definedName name="_xlnm.Print_Titles" localSheetId="1">Расчет!$A:$B,Расчет!#REF!</definedName>
    <definedName name="_xlnm.Print_Area" localSheetId="0">'2024 г'!$A$1:$O$14</definedName>
    <definedName name="_xlnm.Print_Area" localSheetId="1">Расчет!#REF!</definedName>
  </definedNames>
  <calcPr calcId="162913"/>
</workbook>
</file>

<file path=xl/calcChain.xml><?xml version="1.0" encoding="utf-8"?>
<calcChain xmlns="http://schemas.openxmlformats.org/spreadsheetml/2006/main">
  <c r="B6" i="51" l="1"/>
  <c r="B4" i="51" l="1"/>
  <c r="E6" i="51" l="1"/>
  <c r="E5" i="51"/>
  <c r="E4" i="51"/>
  <c r="D6" i="51"/>
  <c r="D5" i="51"/>
  <c r="D4" i="51"/>
  <c r="C6" i="51"/>
  <c r="C5" i="51"/>
  <c r="C4" i="51"/>
  <c r="B5" i="51"/>
  <c r="F4" i="51" l="1"/>
  <c r="C24" i="47"/>
  <c r="C28" i="47" l="1"/>
  <c r="C27" i="47"/>
  <c r="C26" i="47"/>
  <c r="C25" i="47"/>
  <c r="B24" i="51" l="1"/>
  <c r="F6" i="51" l="1"/>
  <c r="F5" i="51"/>
  <c r="F17" i="50"/>
  <c r="F16" i="50"/>
  <c r="F15" i="50"/>
  <c r="F7" i="51" l="1"/>
  <c r="A19" i="51" s="1"/>
  <c r="F18" i="50"/>
  <c r="A13" i="51" s="1"/>
  <c r="C13" i="51" s="1"/>
  <c r="A24" i="51" l="1"/>
  <c r="C24" i="51" s="1"/>
  <c r="B13" i="51"/>
  <c r="D13" i="51" s="1"/>
  <c r="B19" i="51" s="1"/>
  <c r="C19" i="51" s="1"/>
  <c r="A29" i="51" s="1"/>
  <c r="B31" i="47"/>
  <c r="B32" i="47"/>
  <c r="B29" i="51" l="1"/>
  <c r="C29" i="51" s="1"/>
  <c r="F22" i="50" s="1"/>
</calcChain>
</file>

<file path=xl/sharedStrings.xml><?xml version="1.0" encoding="utf-8"?>
<sst xmlns="http://schemas.openxmlformats.org/spreadsheetml/2006/main" count="218" uniqueCount="99">
  <si>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</si>
  <si>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</si>
  <si>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</si>
  <si>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</si>
  <si>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</si>
  <si>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</si>
  <si>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</si>
  <si>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</si>
  <si>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</si>
  <si>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</si>
  <si>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</si>
  <si>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</si>
  <si>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</si>
  <si>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</si>
  <si>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</si>
  <si>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</si>
  <si>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</si>
  <si>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</si>
  <si>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</si>
  <si>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</si>
  <si>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</si>
  <si>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</si>
  <si>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</si>
  <si>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</si>
  <si>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</si>
  <si>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</si>
  <si>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</si>
  <si>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</si>
  <si>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</si>
  <si>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</si>
  <si>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</si>
  <si>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</si>
  <si>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</si>
  <si>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</si>
  <si>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</si>
  <si>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</si>
  <si>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</si>
  <si>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</si>
  <si>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</si>
  <si>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</si>
  <si>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</si>
  <si>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</si>
  <si>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</si>
  <si>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</si>
  <si>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</si>
  <si>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</si>
  <si>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</si>
  <si>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</si>
  <si>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</si>
  <si>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</si>
  <si>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</si>
  <si>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</si>
  <si>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</si>
  <si>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</si>
  <si>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</si>
  <si>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</si>
  <si>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</si>
  <si>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</si>
  <si>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</si>
  <si>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</si>
  <si>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</si>
  <si>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</si>
  <si>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</si>
  <si>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</si>
  <si>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</si>
  <si>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</si>
  <si>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</si>
  <si>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</si>
  <si>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</si>
  <si>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</si>
  <si>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</si>
  <si>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</si>
  <si>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</si>
  <si>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</si>
  <si>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</si>
  <si>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</si>
  <si>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3. Выберите из раскрывающегося списка</t>
  </si>
  <si>
    <t>4. Прогнозный контингент школы, учащихся</t>
  </si>
  <si>
    <t>1. Проставьте свою проектную мощность в ячейку F3</t>
  </si>
  <si>
    <t>ИТОГО,без коррект классов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</si>
  <si>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</si>
  <si>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</si>
  <si>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</si>
  <si>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</si>
  <si>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</si>
  <si>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</si>
  <si>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</si>
  <si>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</si>
  <si>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</si>
  <si>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3. Применение корректирующего коэффициента</t>
  </si>
  <si>
    <t>4. Расчет объема капитальных затрат</t>
  </si>
  <si>
    <t>5. Итого объем подушевого финансирования</t>
  </si>
  <si>
    <t>5. Объем подушевого финансирования  (тенге)</t>
  </si>
  <si>
    <t>Город</t>
  </si>
  <si>
    <t>Село</t>
  </si>
  <si>
    <t>4. Проставьте контингент 1-4 классов в ячейки (при наличии)</t>
  </si>
  <si>
    <t>5. Проставьте контингент 5-9 классов в ячейки (при наличии)</t>
  </si>
  <si>
    <t>6. Проставьте контингент 10-11 классов в ячейки (при наличии)</t>
  </si>
  <si>
    <t>РАСЧЕТ ОБЪЕМА ПОДУШЕВОГО ФИНАНСИРОВАНИЯ ДЛЯ ГОСУДАРСТВЕННЫХ ШКОЛ В ФОРМЕ  "ГУ"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</si>
</sst>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7" xfId="0" applyNumberFormat="1" applyFont="1" applyFill="1" applyBorder="1" applyAlignment="1">
      <alignment horizontal="center"/>
    </xf>
    <xf numFmtId="14" fontId="2" fillId="5" borderId="23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3" xfId="0" applyFont="1" applyBorder="1"/>
    <xf numFmtId="14" fontId="2" fillId="4" borderId="17" xfId="0" applyNumberFormat="1" applyFont="1" applyFill="1" applyBorder="1" applyAlignment="1">
      <alignment horizontal="center"/>
    </xf>
    <xf numFmtId="14" fontId="2" fillId="4" borderId="23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6" xfId="0" applyFont="1" applyFill="1" applyBorder="1" applyAlignment="1"/>
    <xf numFmtId="0" fontId="1" fillId="3" borderId="16" xfId="0" applyFont="1" applyFill="1" applyBorder="1" applyAlignment="1"/>
    <xf numFmtId="0" fontId="1" fillId="10" borderId="16" xfId="0" applyFont="1" applyFill="1" applyBorder="1" applyAlignment="1"/>
    <xf numFmtId="0" fontId="1" fillId="10" borderId="22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4" xfId="0" applyFont="1" applyFill="1" applyBorder="1" applyAlignment="1"/>
    <xf numFmtId="0" fontId="1" fillId="3" borderId="14" xfId="0" applyFont="1" applyFill="1" applyBorder="1" applyAlignment="1"/>
    <xf numFmtId="0" fontId="12" fillId="11" borderId="2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2" fillId="11" borderId="23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10" borderId="22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7" xfId="0" applyFont="1" applyFill="1" applyBorder="1" applyAlignment="1">
      <alignment horizontal="center" vertical="center"/>
    </xf>
    <xf numFmtId="0" fontId="12" fillId="13" borderId="25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2" fillId="13" borderId="23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30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9" fillId="14" borderId="2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5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4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wrapText="1"/>
    </xf>
    <xf numFmtId="0" fontId="9" fillId="0" borderId="20" xfId="0" applyFont="1" applyBorder="1"/>
    <xf numFmtId="165" fontId="9" fillId="0" borderId="20" xfId="0" applyNumberFormat="1" applyFont="1" applyBorder="1" applyAlignment="1">
      <alignment horizontal="center"/>
    </xf>
    <xf numFmtId="3" fontId="3" fillId="14" borderId="21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3" fillId="12" borderId="26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3" xfId="0" applyFont="1" applyFill="1" applyBorder="1"/>
    <xf numFmtId="0" fontId="11" fillId="0" borderId="12" xfId="0" applyFont="1" applyFill="1" applyBorder="1"/>
    <xf numFmtId="0" fontId="1" fillId="0" borderId="1" xfId="0" applyFont="1" applyFill="1" applyBorder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3" fontId="10" fillId="12" borderId="29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5"/>
  <sheetViews>
    <sheetView tabSelected="1" zoomScaleNormal="100" zoomScaleSheetLayoutView="25" workbookViewId="0">
      <selection activeCell="A9" sqref="A9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98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78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87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5"/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162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88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5"/>
      <c r="B9" s="23"/>
      <c r="C9" s="23"/>
      <c r="D9" s="23"/>
      <c r="E9" s="23"/>
      <c r="F9" s="23"/>
      <c r="G9" s="117" t="s">
        <v>62</v>
      </c>
      <c r="H9" s="121" t="s">
        <v>76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0.25" x14ac:dyDescent="0.3">
      <c r="A11" s="22" t="s">
        <v>77</v>
      </c>
      <c r="B11" s="23"/>
      <c r="C11" s="23"/>
      <c r="D11" s="129"/>
      <c r="E11" s="26"/>
      <c r="F11" s="25"/>
      <c r="G11" s="122"/>
      <c r="H11" s="148"/>
      <c r="I11" s="1"/>
      <c r="J11" s="24"/>
      <c r="K11" s="25"/>
    </row>
    <row r="12" spans="1:15" ht="21" thickBot="1" x14ac:dyDescent="0.35">
      <c r="A12" s="22"/>
      <c r="B12" s="32"/>
      <c r="C12" s="23"/>
      <c r="D12" s="129"/>
      <c r="E12" s="26"/>
      <c r="F12" s="25"/>
      <c r="G12" s="122"/>
      <c r="H12" s="147"/>
      <c r="I12" s="1"/>
      <c r="J12" s="24"/>
      <c r="K12" s="25"/>
    </row>
    <row r="13" spans="1:15" ht="34.5" customHeight="1" x14ac:dyDescent="0.3">
      <c r="A13" s="168" t="s">
        <v>63</v>
      </c>
      <c r="B13" s="170" t="s">
        <v>80</v>
      </c>
      <c r="C13" s="170"/>
      <c r="D13" s="171" t="s">
        <v>81</v>
      </c>
      <c r="E13" s="171" t="s">
        <v>82</v>
      </c>
      <c r="F13" s="163" t="s">
        <v>4</v>
      </c>
      <c r="G13" s="122"/>
      <c r="H13" s="147"/>
      <c r="I13" s="1"/>
      <c r="J13" s="24"/>
      <c r="K13" s="25"/>
    </row>
    <row r="14" spans="1:15" ht="42.75" x14ac:dyDescent="0.3">
      <c r="A14" s="169"/>
      <c r="B14" s="149" t="s">
        <v>83</v>
      </c>
      <c r="C14" s="150" t="s">
        <v>84</v>
      </c>
      <c r="D14" s="172"/>
      <c r="E14" s="172"/>
      <c r="F14" s="164"/>
      <c r="G14" s="119"/>
      <c r="H14" s="123"/>
      <c r="I14" s="1"/>
      <c r="J14" s="24"/>
      <c r="K14" s="25"/>
    </row>
    <row r="15" spans="1:15" ht="20.25" x14ac:dyDescent="0.3">
      <c r="A15" s="130" t="s">
        <v>1</v>
      </c>
      <c r="B15" s="131"/>
      <c r="C15" s="131"/>
      <c r="D15" s="131"/>
      <c r="E15" s="131"/>
      <c r="F15" s="132">
        <f>B15+C15+D15+E15</f>
        <v>0</v>
      </c>
      <c r="G15" s="117" t="s">
        <v>62</v>
      </c>
      <c r="H15" s="118" t="s">
        <v>95</v>
      </c>
      <c r="I15" s="1"/>
      <c r="J15" s="24"/>
      <c r="K15" s="25"/>
    </row>
    <row r="16" spans="1:15" ht="20.25" x14ac:dyDescent="0.3">
      <c r="A16" s="130" t="s">
        <v>2</v>
      </c>
      <c r="B16" s="131"/>
      <c r="C16" s="131"/>
      <c r="D16" s="131"/>
      <c r="E16" s="131"/>
      <c r="F16" s="132">
        <f>B16+C16+D16+E16</f>
        <v>0</v>
      </c>
      <c r="G16" s="117" t="s">
        <v>62</v>
      </c>
      <c r="H16" s="118" t="s">
        <v>96</v>
      </c>
      <c r="I16" s="1"/>
      <c r="J16" s="24"/>
      <c r="K16" s="25"/>
    </row>
    <row r="17" spans="1:15" ht="21" thickBot="1" x14ac:dyDescent="0.35">
      <c r="A17" s="133" t="s">
        <v>3</v>
      </c>
      <c r="B17" s="134"/>
      <c r="C17" s="134"/>
      <c r="D17" s="134"/>
      <c r="E17" s="134"/>
      <c r="F17" s="135">
        <f>B17+C17+D17+E17</f>
        <v>0</v>
      </c>
      <c r="G17" s="117" t="s">
        <v>62</v>
      </c>
      <c r="H17" s="118" t="s">
        <v>97</v>
      </c>
      <c r="I17" s="1"/>
      <c r="J17" s="24"/>
      <c r="K17" s="25"/>
    </row>
    <row r="18" spans="1:15" ht="19.5" thickBot="1" x14ac:dyDescent="0.35">
      <c r="A18" s="136" t="s">
        <v>64</v>
      </c>
      <c r="B18" s="137"/>
      <c r="C18" s="138"/>
      <c r="D18" s="139"/>
      <c r="E18" s="140"/>
      <c r="F18" s="141">
        <f>F15+F16+F17</f>
        <v>0</v>
      </c>
      <c r="G18" s="26"/>
      <c r="H18" s="26"/>
      <c r="I18" s="26"/>
      <c r="J18" s="24"/>
      <c r="K18" s="25"/>
    </row>
    <row r="19" spans="1:15" x14ac:dyDescent="0.3">
      <c r="A19" s="23"/>
      <c r="B19" s="23"/>
      <c r="C19" s="23"/>
      <c r="D19" s="23"/>
      <c r="E19" s="23"/>
      <c r="F19" s="23"/>
      <c r="G19" s="26"/>
      <c r="H19" s="26"/>
      <c r="I19" s="26"/>
      <c r="J19" s="24"/>
      <c r="K19" s="25"/>
      <c r="N19" s="1"/>
      <c r="O19" s="1"/>
    </row>
    <row r="20" spans="1:15" s="82" customFormat="1" x14ac:dyDescent="0.3">
      <c r="A20" s="22" t="s">
        <v>92</v>
      </c>
      <c r="B20" s="33"/>
      <c r="C20" s="33"/>
      <c r="D20" s="23"/>
      <c r="E20" s="23"/>
      <c r="F20" s="26"/>
      <c r="G20" s="26"/>
      <c r="H20" s="26"/>
      <c r="I20" s="26"/>
      <c r="J20" s="24"/>
      <c r="K20" s="25"/>
    </row>
    <row r="21" spans="1:15" ht="19.5" thickBot="1" x14ac:dyDescent="0.35">
      <c r="A21" s="72"/>
      <c r="B21" s="33"/>
      <c r="C21" s="33"/>
      <c r="D21" s="23"/>
      <c r="E21" s="23"/>
      <c r="F21" s="26"/>
      <c r="G21" s="26"/>
      <c r="H21" s="26"/>
      <c r="I21" s="26"/>
      <c r="J21" s="24"/>
      <c r="K21" s="25"/>
    </row>
    <row r="22" spans="1:15" s="82" customFormat="1" ht="36" customHeight="1" thickBot="1" x14ac:dyDescent="0.35">
      <c r="A22" s="165" t="s">
        <v>65</v>
      </c>
      <c r="B22" s="166"/>
      <c r="C22" s="166"/>
      <c r="D22" s="166"/>
      <c r="E22" s="167"/>
      <c r="F22" s="142" t="e">
        <f>Расчет!C29</f>
        <v>#DIV/0!</v>
      </c>
      <c r="G22" s="26"/>
      <c r="H22" s="24"/>
      <c r="I22" s="25"/>
      <c r="J22" s="25"/>
      <c r="K22" s="25"/>
    </row>
    <row r="23" spans="1:15" s="82" customFormat="1" x14ac:dyDescent="0.3">
      <c r="B23" s="1"/>
      <c r="C23" s="1"/>
      <c r="D23" s="84"/>
      <c r="E23" s="84"/>
      <c r="F23" s="84"/>
      <c r="G23" s="84"/>
      <c r="H23" s="81"/>
    </row>
    <row r="25" spans="1:15" x14ac:dyDescent="0.3">
      <c r="E25" s="151"/>
      <c r="F25" s="152"/>
      <c r="G25" s="152"/>
      <c r="H25" s="152"/>
    </row>
    <row r="26" spans="1:15" x14ac:dyDescent="0.3">
      <c r="D26" s="84"/>
      <c r="E26" s="153"/>
      <c r="F26" s="153"/>
      <c r="G26" s="153"/>
      <c r="H26" s="153"/>
    </row>
    <row r="27" spans="1:15" x14ac:dyDescent="0.3">
      <c r="D27" s="82"/>
      <c r="E27" s="153"/>
      <c r="F27" s="151"/>
      <c r="G27" s="151"/>
      <c r="H27" s="151"/>
    </row>
    <row r="31" spans="1:15" s="82" customFormat="1" x14ac:dyDescent="0.3">
      <c r="A31" s="88"/>
      <c r="B31" s="79"/>
      <c r="C31" s="79"/>
      <c r="D31" s="1"/>
      <c r="E31" s="1"/>
      <c r="F31" s="84"/>
      <c r="G31" s="84"/>
      <c r="H31" s="84"/>
      <c r="I31" s="84"/>
      <c r="J31" s="81"/>
      <c r="K31" s="1"/>
      <c r="L31" s="1"/>
      <c r="M31" s="1"/>
    </row>
    <row r="32" spans="1:15" s="82" customFormat="1" x14ac:dyDescent="0.3">
      <c r="A32" s="88"/>
      <c r="B32" s="79"/>
      <c r="C32" s="79"/>
      <c r="D32" s="1"/>
      <c r="E32" s="1"/>
      <c r="F32" s="84"/>
      <c r="G32" s="84"/>
      <c r="H32" s="84"/>
      <c r="I32" s="84"/>
      <c r="J32" s="81"/>
      <c r="K32" s="1"/>
      <c r="L32" s="1"/>
      <c r="M32" s="1"/>
    </row>
    <row r="33" spans="1:13" s="82" customFormat="1" x14ac:dyDescent="0.3">
      <c r="A33" s="88"/>
      <c r="B33" s="79"/>
      <c r="C33" s="79"/>
      <c r="D33" s="1"/>
      <c r="E33" s="1"/>
      <c r="F33" s="84"/>
      <c r="G33" s="84"/>
      <c r="H33" s="84"/>
      <c r="I33" s="84"/>
      <c r="J33" s="81"/>
      <c r="K33" s="1"/>
      <c r="L33" s="1"/>
      <c r="M33" s="1"/>
    </row>
    <row r="34" spans="1:13" s="82" customFormat="1" x14ac:dyDescent="0.3">
      <c r="A34" s="88"/>
      <c r="B34" s="79"/>
      <c r="C34" s="79"/>
      <c r="D34" s="1"/>
      <c r="E34" s="1"/>
      <c r="F34" s="84"/>
      <c r="G34" s="84"/>
      <c r="H34" s="84"/>
      <c r="I34" s="84"/>
      <c r="J34" s="81"/>
      <c r="K34" s="1"/>
      <c r="L34" s="1"/>
      <c r="M34" s="1"/>
    </row>
    <row r="35" spans="1:13" s="82" customFormat="1" x14ac:dyDescent="0.3">
      <c r="A35" s="88"/>
      <c r="B35" s="79"/>
      <c r="C35" s="79"/>
      <c r="D35" s="1"/>
      <c r="E35" s="1"/>
      <c r="F35" s="84"/>
      <c r="G35" s="84"/>
      <c r="H35" s="84"/>
      <c r="I35" s="84"/>
      <c r="J35" s="81"/>
      <c r="K35" s="1"/>
      <c r="L35" s="1"/>
      <c r="M35" s="1"/>
    </row>
  </sheetData>
  <sheetProtection algorithmName="SHA-512" hashValue="AaDm3qGLNJiVGzEua5efcGESyfh79AYyPPCNS6YAbt/HeUmYC5pqbScfSCVTCV6cYLFbdBw4MIsP0GcJV0qG+A==" saltValue="+wWBl8VWEesz7kk2HDHVAw==" spinCount="100000" sheet="1" objects="1" scenarios="1" selectLockedCells="1"/>
  <mergeCells count="6">
    <mergeCell ref="F13:F14"/>
    <mergeCell ref="A22:E22"/>
    <mergeCell ref="A13:A14"/>
    <mergeCell ref="B13:C13"/>
    <mergeCell ref="D13:D14"/>
    <mergeCell ref="E13:E14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>
          <x14:formula1>
            <xm:f>формула!$H$24:$K$24</xm:f>
          </x14:formula1>
          <xm:sqref>A9</xm:sqref>
        </x14:dataValidation>
        <x14:dataValidation type="list" allowBlank="1" showInputMessage="1" showErrorMessage="1">
          <x14:formula1>
            <xm:f>формула!$H$27:$J$27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41"/>
  <sheetViews>
    <sheetView topLeftCell="A25" zoomScaleNormal="100" zoomScaleSheetLayoutView="25" workbookViewId="0">
      <selection activeCell="B24" sqref="B24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79</v>
      </c>
      <c r="N3" s="89"/>
      <c r="O3" s="89"/>
    </row>
    <row r="4" spans="1:16" ht="21" customHeight="1" thickBot="1" x14ac:dyDescent="0.35">
      <c r="A4" s="94" t="s">
        <v>1</v>
      </c>
      <c r="B4" s="143">
        <f>(IF(AND('2024 г'!$A$6="город",'2024 г'!$A$9="Без доплат"),формула!$B$5*'2024 г'!B15)+IF(AND('2024 г'!$A$6="город",'2024 г'!$A$9="экология"),формула!$B$12*'2024 г'!B15)+IF(AND('2024 г'!$A$6="город",'2024 г'!$A$9="радиация"),формула!$B$19*'2024 г'!B15)+IF(AND('2024 г'!$A$6="село",'2024 г'!$A$9="Без доплат"),формула!$M$5*'2024 г'!B15)+IF(AND('2024 г'!$A$6="село",'2024 г'!$A$9="экология"),формула!$M$12*'2024 г'!B15)+IF(AND('2024 г'!$A$6="село",'2024 г'!$A$9="радиация"),формула!$M$19*'2024 г'!B15))</f>
        <v>0</v>
      </c>
      <c r="C4" s="143">
        <f>(IF(AND('2024 г'!$A$6="город",'2024 г'!$A$9="без доплат"),формула!$B$6*'2024 г'!C15)+IF(AND('2024 г'!$A$6="город",'2024 г'!$A$9="экология"),формула!$B$13*'2024 г'!C15)+IF(AND('2024 г'!$A$6="город",'2024 г'!$A$9="радиация"),формула!$B$20*'2024 г'!C15)+IF(AND('2024 г'!$A$6="село",'2024 г'!$A$9="без доплат"),формула!$M$6*'2024 г'!C15)+IF(AND('2024 г'!$A$6="село",'2024 г'!$A$9="экология"),формула!$M$13*'2024 г'!C15)+IF(AND('2024 г'!$A$6="село",'2024 г'!$A$9="радиация"),формула!$M$20*'2024 г'!C15))</f>
        <v>0</v>
      </c>
      <c r="D4" s="143">
        <f>(IF(AND('2024 г'!$A$6="город",'2024 г'!$A$9="без доплат"),формула!$E$5*'2024 г'!D15)+IF(AND('2024 г'!$A$6="город",'2024 г'!$A$9="экология"),формула!$E$12*'2024 г'!D15)+IF(AND('2024 г'!$A$6="город",'2024 г'!$A$9="радиация"),формула!$E$19*'2024 г'!D15)+IF(AND('2024 г'!$A$6="село",'2024 г'!$A$9="без доплат"),формула!$P$5*'2024 г'!D15)+IF(AND('2024 г'!$A$6="село",'2024 г'!$A$9="экология"),формула!$P$12*'2024 г'!D15)+IF(AND('2024 г'!$A$6="село",'2024 г'!$A$9="радиация"),формула!$P$19*'2024 г'!D15))</f>
        <v>0</v>
      </c>
      <c r="E4" s="143">
        <f>(IF(AND('2024 г'!$A$6="город",'2024 г'!$A$9="без доплат"),формула!$H$5*'2024 г'!E15)+IF(AND('2024 г'!$A$6="город",'2024 г'!$A$9="экология"),формула!$H$12*'2024 г'!E15)+IF(AND('2024 г'!$A$6="город",'2024 г'!$A$9="радиация"),формула!$H$19*'2024 г'!E15)+IF(AND('2024 г'!$A$6="село",'2024 г'!$A$9="без доплат"),формула!$S$5*'2024 г'!E15)+IF(AND('2024 г'!$A$6="село",'2024 г'!$A$9="экология"),формула!$S$12*'2024 г'!E15)+IF(AND('2024 г'!$A$6="село",'2024 г'!$A$9="радиация"),формула!$S$19*'2024 г'!E15))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44">
        <f>(IF(AND('2024 г'!$A$6="город",'2024 г'!$A$9="Без доплат"),формула!$C$5*'2024 г'!B16)+IF(AND('2024 г'!$A$6="город",'2024 г'!$A$9="экология"),формула!$C$12*'2024 г'!B16)+IF(AND('2024 г'!$A$6="город",'2024 г'!$A$9="радиация"),формула!$C$19*'2024 г'!B16)+IF(AND('2024 г'!$A$6="село",'2024 г'!$A$9="Без доплат"),формула!$N$5*'2024 г'!B16)+IF(AND('2024 г'!$A$6="село",'2024 г'!$A$9="экология"),формула!$N$12*'2024 г'!B16)+IF(AND('2024 г'!$A$6="село",'2024 г'!$A$9="радиация"),формула!$N$19*'2024 г'!B16))</f>
        <v>0</v>
      </c>
      <c r="C5" s="144">
        <f>(IF(AND('2024 г'!$A$6="город",'2024 г'!$A$9="без доплат"),формула!$C$6*'2024 г'!C16)+IF(AND('2024 г'!$A$6="город",'2024 г'!$A$9="экология"),формула!$C$13*'2024 г'!C16)+IF(AND('2024 г'!$A$6="город",'2024 г'!$A$9="радиация"),формула!$C$20*'2024 г'!C16)+IF(AND('2024 г'!$A$6="село",'2024 г'!$A$9="без доплат"),формула!$N$6*'2024 г'!C16)+IF(AND('2024 г'!$A$6="село",'2024 г'!$A$9="экология"),формула!$N$13*'2024 г'!C16)+IF(AND('2024 г'!$A$6="село",'2024 г'!$A$9="радиация"),формула!$N$20*'2024 г'!C16))</f>
        <v>0</v>
      </c>
      <c r="D5" s="144">
        <f>(IF(AND('2024 г'!$A$6="город",'2024 г'!$A$9="без доплат"),формула!$F$5*'2024 г'!D16)+IF(AND('2024 г'!$A$6="город",'2024 г'!$A$9="экология"),формула!$F$12*'2024 г'!D16)+IF(AND('2024 г'!$A$6="город",'2024 г'!$A$9="радиация"),формула!$F$19*'2024 г'!D16)+IF(AND('2024 г'!$A$6="село",'2024 г'!$A$9="без доплат"),формула!$Q$5*'2024 г'!D16)+IF(AND('2024 г'!$A$6="село",'2024 г'!$A$9="экология"),формула!$Q$12*'2024 г'!D16)+IF(AND('2024 г'!$A$6="село",'2024 г'!$A$9="радиация"),формула!$Q$19*'2024 г'!D16))</f>
        <v>0</v>
      </c>
      <c r="E5" s="144">
        <f>(IF(AND('2024 г'!$A$6="город",'2024 г'!$A$9="без доплат"),формула!$I$5*'2024 г'!E16)+IF(AND('2024 г'!$A$6="город",'2024 г'!$A$9="экология"),формула!$I$12*'2024 г'!E16)+IF(AND('2024 г'!$A$6="город",'2024 г'!$A$9="радиация"),формула!$I$19*'2024 г'!E16)+IF(AND('2024 г'!$A$6="село",'2024 г'!$A$9="без доплат"),формула!$T$5*'2024 г'!E16)+IF(AND('2024 г'!$A$6="село",'2024 г'!$A$9="экология"),формула!$T$12*'2024 г'!E16)+IF(AND('2024 г'!$A$6="село",'2024 г'!$A$9="радиация"),формула!$T$19*'2024 г'!E16))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98">
        <f>(IF(AND('2024 г'!$A$6="город",'2024 г'!$A$9="без доплат"),формула!$D$5*'2024 г'!B17)+IF(AND('2024 г'!$A$6="город",'2024 г'!$A$9="экология"),формула!$D$12*'2024 г'!B17)+IF(AND('2024 г'!$A$6="город",'2024 г'!$A$9="радиация"),формула!$D$19*'2024 г'!B17)+IF(AND('2024 г'!$A$6="село",'2024 г'!$A$9="без доплат"),формула!$O$5*'2024 г'!B17)+IF(AND('2024 г'!$A$6="село",'2024 г'!$A$9="экология"),формула!$O$12*'2024 г'!B17)+IF(AND('2024 г'!$A$6="село",'2024 г'!$A$9="радиация"),формула!$O$19*'2024 г'!B17))</f>
        <v>0</v>
      </c>
      <c r="C6" s="98">
        <f>(IF(AND('2024 г'!$A$6="город",'2024 г'!$A$9="без доплат"),формула!$D$6*'2024 г'!C17)+IF(AND('2024 г'!$A$6="город",'2024 г'!$A$9="экология"),формула!$D$13*'2024 г'!C17)+IF(AND('2024 г'!$A$6="город",'2024 г'!$A$9="радиация"),формула!$D$20*'2024 г'!C17)+IF(AND('2024 г'!$A$6="село",'2024 г'!$A$9="без доплат"),формула!$O$6*'2024 г'!C17)+IF(AND('2024 г'!$A$6="село",'2024 г'!$A$9="экология"),формула!$O$13*'2024 г'!C17)+IF(AND('2024 г'!$A$6="село",'2024 г'!$A$9="радиация"),формула!$O$20*'2024 г'!C17))</f>
        <v>0</v>
      </c>
      <c r="D6" s="98">
        <f>(IF(AND('2024 г'!$A$6="город",'2024 г'!$A$9="без доплат"),формула!$G$5*'2024 г'!D17)+IF(AND('2024 г'!$A$6="город",'2024 г'!$A$9="экология"),формула!$G$12*'2024 г'!D17)+IF(AND('2024 г'!$A$6="город",'2024 г'!$A$9="радиация"),формула!$G$19*'2024 г'!D17)+IF(AND('2024 г'!$A$6="село",'2024 г'!$A$9="без доплат"),формула!$R$5*'2024 г'!D17)+IF(AND('2024 г'!$A$6="село",'2024 г'!$A$9="экология"),формула!$R$12*'2024 г'!D17)+IF(AND('2024 г'!$A$6="село",'2024 г'!$A$9="радиация"),формула!$R$19*'2024 г'!D17))</f>
        <v>0</v>
      </c>
      <c r="E6" s="98">
        <f>(IF(AND('2024 г'!$A$6="город",'2024 г'!$A$9="без доплат"),формула!$J$5*'2024 г'!E17)+IF(AND('2024 г'!$A$6="город",'2024 г'!$A$9="экология"),формула!$J$12*'2024 г'!E17)+IF(AND('2024 г'!$A$6="город",'2024 г'!$A$9="радиация"),формула!$J$19*'2024 г'!E17)+IF(AND('2024 г'!$A$6="село",'2024 г'!$A$9="без доплат"),формула!$U$5*'2024 г'!E17)+IF(AND('2024 г'!$A$6="село",'2024 г'!$A$9="экология"),формула!$U$12*'2024 г'!E17)+IF(AND('2024 г'!$A$6="село",'2024 г'!$A$9="радиация"),формула!$U$19*'2024 г'!E17))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ROUND('2024 г'!F18/'2024 г'!F3*100,0)</f>
        <v>#DIV/0!</v>
      </c>
      <c r="B13" s="110">
        <f>IF('2024 г'!F18&lt;=400,формула!B35,IF('2024 г'!F18&lt;=500,формула!B36,IF('2024 г'!F18&lt;=800,формула!B37,IF('2024 г'!F18&lt;=1000,формула!B38,IF('2024 г'!F18&lt;=1200,формула!B39,IF('2024 г'!F18&lt;=1400,формула!B40,IF('2024 г'!F18&lt;=1600,формула!B41,IF('2024 г'!F18&lt;=2000,формула!B42,IF('2024 г'!F18&lt;=2500,формула!B43,IF('2024 г'!F18&lt;=3000,формула!B44,IF('2024 г'!F18&lt;=4000,формула!B45,IF('2024 г'!F18&gt;=4001,формула!B46,0))))))))))))</f>
        <v>1</v>
      </c>
      <c r="C13" s="111" t="e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#DIV/0!</v>
      </c>
      <c r="D13" s="112" t="e">
        <f>B13+C13</f>
        <v>#DIV/0!</v>
      </c>
      <c r="F13" s="89"/>
    </row>
    <row r="16" spans="1:16" ht="25.5" x14ac:dyDescent="0.35">
      <c r="A16" s="83" t="s">
        <v>89</v>
      </c>
    </row>
    <row r="18" spans="1:3" ht="101.25" x14ac:dyDescent="0.3">
      <c r="A18" s="114" t="s">
        <v>67</v>
      </c>
      <c r="B18" s="114" t="s">
        <v>69</v>
      </c>
      <c r="C18" s="114" t="s">
        <v>70</v>
      </c>
    </row>
    <row r="19" spans="1:3" ht="23.25" thickBot="1" x14ac:dyDescent="0.35">
      <c r="A19" s="98">
        <f>F7</f>
        <v>0</v>
      </c>
      <c r="B19" s="115" t="e">
        <f>D13</f>
        <v>#DIV/0!</v>
      </c>
      <c r="C19" s="116" t="e">
        <f>ROUND(A19*B19,0)</f>
        <v>#DIV/0!</v>
      </c>
    </row>
    <row r="21" spans="1:3" ht="25.5" x14ac:dyDescent="0.35">
      <c r="A21" s="83" t="s">
        <v>90</v>
      </c>
    </row>
    <row r="23" spans="1:3" ht="60.75" x14ac:dyDescent="0.3">
      <c r="A23" s="114" t="s">
        <v>71</v>
      </c>
      <c r="B23" s="114" t="s">
        <v>72</v>
      </c>
      <c r="C23" s="114" t="s">
        <v>26</v>
      </c>
    </row>
    <row r="24" spans="1:3" ht="23.25" thickBot="1" x14ac:dyDescent="0.35">
      <c r="A24" s="98">
        <f>'2024 г'!F18</f>
        <v>0</v>
      </c>
      <c r="B24" s="98">
        <f>формула!B30*6</f>
        <v>22152</v>
      </c>
      <c r="C24" s="116">
        <f>A24*B24</f>
        <v>0</v>
      </c>
    </row>
    <row r="26" spans="1:3" ht="25.5" x14ac:dyDescent="0.35">
      <c r="A26" s="83" t="s">
        <v>91</v>
      </c>
    </row>
    <row r="28" spans="1:3" ht="101.25" x14ac:dyDescent="0.3">
      <c r="A28" s="114" t="s">
        <v>70</v>
      </c>
      <c r="B28" s="114" t="s">
        <v>26</v>
      </c>
      <c r="C28" s="114" t="s">
        <v>73</v>
      </c>
    </row>
    <row r="29" spans="1:3" ht="23.25" thickBot="1" x14ac:dyDescent="0.35">
      <c r="A29" s="98" t="e">
        <f>C19+D4+D5+D6</f>
        <v>#DIV/0!</v>
      </c>
      <c r="B29" s="98">
        <f>C24</f>
        <v>0</v>
      </c>
      <c r="C29" s="116" t="e">
        <f>A29+B29</f>
        <v>#DIV/0!</v>
      </c>
    </row>
    <row r="37" spans="11:13" x14ac:dyDescent="0.3">
      <c r="K37" s="89"/>
      <c r="L37" s="89"/>
      <c r="M37" s="89"/>
    </row>
    <row r="38" spans="11:13" x14ac:dyDescent="0.3">
      <c r="K38" s="89"/>
      <c r="L38" s="89"/>
      <c r="M38" s="89"/>
    </row>
    <row r="39" spans="11:13" x14ac:dyDescent="0.3">
      <c r="K39" s="89"/>
      <c r="L39" s="89"/>
      <c r="M39" s="89"/>
    </row>
    <row r="40" spans="11:13" x14ac:dyDescent="0.3">
      <c r="K40" s="89"/>
      <c r="L40" s="89"/>
      <c r="M40" s="89"/>
    </row>
    <row r="41" spans="11:13" x14ac:dyDescent="0.3">
      <c r="K41" s="89"/>
      <c r="L41" s="89"/>
      <c r="M41" s="89"/>
    </row>
  </sheetData>
  <sheetProtection algorithmName="SHA-512" hashValue="Jk3sJJdnrmBS49VIyaLszKLXC4D9D1nBWaXA6SjCMptfyPerp4EZGYmxhEeecbym3SqeTQZrV/trqs6cm4NEkA==" saltValue="854CSs/iO4z4qcNy7nGvUA==" spinCount="100000" sheet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58"/>
  <sheetViews>
    <sheetView zoomScale="70" zoomScaleNormal="70" workbookViewId="0">
      <selection activeCell="O28" sqref="O28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411097</v>
      </c>
      <c r="C5" s="44">
        <v>570789</v>
      </c>
      <c r="D5" s="44">
        <v>686846</v>
      </c>
      <c r="E5" s="45">
        <v>797509</v>
      </c>
      <c r="F5" s="45">
        <v>956897</v>
      </c>
      <c r="G5" s="45">
        <v>1015691</v>
      </c>
      <c r="H5" s="46">
        <v>2117732</v>
      </c>
      <c r="I5" s="46">
        <v>2628509</v>
      </c>
      <c r="J5" s="47">
        <v>3138827</v>
      </c>
      <c r="L5" s="68" t="s">
        <v>50</v>
      </c>
      <c r="M5" s="44">
        <v>541937</v>
      </c>
      <c r="N5" s="44">
        <v>769796</v>
      </c>
      <c r="O5" s="44">
        <v>935220</v>
      </c>
      <c r="P5" s="45">
        <v>924538</v>
      </c>
      <c r="Q5" s="45">
        <v>1113002</v>
      </c>
      <c r="R5" s="45">
        <v>1182522</v>
      </c>
      <c r="S5" s="46">
        <v>2490106</v>
      </c>
      <c r="T5" s="46">
        <v>3094061</v>
      </c>
      <c r="U5" s="47">
        <v>3697472</v>
      </c>
    </row>
    <row r="6" spans="1:21" ht="20.25" x14ac:dyDescent="0.3">
      <c r="A6" s="68" t="s">
        <v>54</v>
      </c>
      <c r="B6" s="44">
        <v>725463</v>
      </c>
      <c r="C6" s="44">
        <v>1044847</v>
      </c>
      <c r="D6" s="44">
        <v>1276961</v>
      </c>
      <c r="E6" s="45"/>
      <c r="F6" s="45"/>
      <c r="G6" s="45"/>
      <c r="H6" s="46"/>
      <c r="I6" s="46"/>
      <c r="J6" s="47"/>
      <c r="L6" s="68" t="s">
        <v>54</v>
      </c>
      <c r="M6" s="44">
        <v>987143</v>
      </c>
      <c r="N6" s="44">
        <v>1442861</v>
      </c>
      <c r="O6" s="44">
        <v>1773709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519626</v>
      </c>
      <c r="C12" s="44">
        <v>723550</v>
      </c>
      <c r="D12" s="44">
        <v>871753</v>
      </c>
      <c r="E12" s="45">
        <v>1009079</v>
      </c>
      <c r="F12" s="45">
        <v>1211702</v>
      </c>
      <c r="G12" s="45">
        <v>1286445</v>
      </c>
      <c r="H12" s="46">
        <v>2694123</v>
      </c>
      <c r="I12" s="46">
        <v>3343452</v>
      </c>
      <c r="J12" s="47">
        <v>3992197</v>
      </c>
      <c r="L12" s="68" t="s">
        <v>50</v>
      </c>
      <c r="M12" s="44">
        <v>667536</v>
      </c>
      <c r="N12" s="44">
        <v>948598</v>
      </c>
      <c r="O12" s="44">
        <v>1152647</v>
      </c>
      <c r="P12" s="45">
        <v>1136109</v>
      </c>
      <c r="Q12" s="45">
        <v>1367808</v>
      </c>
      <c r="R12" s="45">
        <v>1453276</v>
      </c>
      <c r="S12" s="46">
        <v>3066497</v>
      </c>
      <c r="T12" s="46">
        <v>3809003</v>
      </c>
      <c r="U12" s="47">
        <v>4550842</v>
      </c>
    </row>
    <row r="13" spans="1:21" ht="20.25" x14ac:dyDescent="0.3">
      <c r="A13" s="68" t="s">
        <v>54</v>
      </c>
      <c r="B13" s="44">
        <v>919839</v>
      </c>
      <c r="C13" s="44">
        <v>1327687</v>
      </c>
      <c r="D13" s="44">
        <v>1624093</v>
      </c>
      <c r="E13" s="45"/>
      <c r="F13" s="45"/>
      <c r="G13" s="45"/>
      <c r="H13" s="46"/>
      <c r="I13" s="46"/>
      <c r="J13" s="47"/>
      <c r="L13" s="68" t="s">
        <v>54</v>
      </c>
      <c r="M13" s="44">
        <v>1215659</v>
      </c>
      <c r="N13" s="44">
        <v>1777783</v>
      </c>
      <c r="O13" s="44">
        <v>2185881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431397</v>
      </c>
      <c r="C19" s="44">
        <v>596771</v>
      </c>
      <c r="D19" s="44">
        <v>716958</v>
      </c>
      <c r="E19" s="45">
        <v>831047</v>
      </c>
      <c r="F19" s="45">
        <v>995990</v>
      </c>
      <c r="G19" s="45">
        <v>1056833</v>
      </c>
      <c r="H19" s="46">
        <v>2198143</v>
      </c>
      <c r="I19" s="46">
        <v>2726721</v>
      </c>
      <c r="J19" s="47">
        <v>3254824</v>
      </c>
      <c r="L19" s="68" t="s">
        <v>50</v>
      </c>
      <c r="M19" s="44">
        <v>564430</v>
      </c>
      <c r="N19" s="44">
        <v>799124</v>
      </c>
      <c r="O19" s="44">
        <v>969511</v>
      </c>
      <c r="P19" s="45">
        <v>958076</v>
      </c>
      <c r="Q19" s="45">
        <v>1152095</v>
      </c>
      <c r="R19" s="45">
        <v>1223664</v>
      </c>
      <c r="S19" s="46">
        <v>2570517</v>
      </c>
      <c r="T19" s="46">
        <v>3192273</v>
      </c>
      <c r="U19" s="47">
        <v>3813469</v>
      </c>
    </row>
    <row r="20" spans="1:25" ht="20.25" x14ac:dyDescent="0.3">
      <c r="A20" s="68" t="s">
        <v>54</v>
      </c>
      <c r="B20" s="44">
        <v>756793</v>
      </c>
      <c r="C20" s="44">
        <v>1087541</v>
      </c>
      <c r="D20" s="44">
        <v>1327915</v>
      </c>
      <c r="E20" s="45"/>
      <c r="F20" s="45"/>
      <c r="G20" s="45"/>
      <c r="H20" s="46"/>
      <c r="I20" s="46"/>
      <c r="J20" s="47"/>
      <c r="L20" s="68" t="s">
        <v>54</v>
      </c>
      <c r="M20" s="44">
        <v>1022859</v>
      </c>
      <c r="N20" s="44">
        <v>1492247</v>
      </c>
      <c r="O20" s="44">
        <v>1833021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12922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16614</v>
      </c>
      <c r="I25" s="146" t="s">
        <v>18</v>
      </c>
      <c r="J25" s="146" t="s">
        <v>19</v>
      </c>
      <c r="K25" s="146" t="s">
        <v>20</v>
      </c>
      <c r="L25" s="146" t="s">
        <v>21</v>
      </c>
      <c r="M25" s="146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22152</v>
      </c>
    </row>
    <row r="27" spans="1:25" x14ac:dyDescent="0.3">
      <c r="A27" s="12" t="s">
        <v>21</v>
      </c>
      <c r="B27" s="13">
        <v>6.5</v>
      </c>
      <c r="C27" s="14">
        <f>ROUND($B$27*$B$30,2)</f>
        <v>23998</v>
      </c>
      <c r="I27" s="1" t="s">
        <v>93</v>
      </c>
      <c r="J27" s="1" t="s">
        <v>94</v>
      </c>
    </row>
    <row r="28" spans="1:25" x14ac:dyDescent="0.3">
      <c r="A28" s="12" t="s">
        <v>46</v>
      </c>
      <c r="B28" s="13">
        <v>8</v>
      </c>
      <c r="C28" s="14">
        <f>ROUND($B$28*$B$30,2)</f>
        <v>29536</v>
      </c>
    </row>
    <row r="29" spans="1:25" x14ac:dyDescent="0.3">
      <c r="B29" s="1"/>
    </row>
    <row r="30" spans="1:25" x14ac:dyDescent="0.3">
      <c r="A30" s="8" t="s">
        <v>6</v>
      </c>
      <c r="B30" s="8">
        <v>3692</v>
      </c>
    </row>
    <row r="31" spans="1:25" x14ac:dyDescent="0.3">
      <c r="A31" s="35" t="s">
        <v>48</v>
      </c>
      <c r="B31" s="21">
        <f>ROUND(6*$B$30,0)</f>
        <v>22152</v>
      </c>
    </row>
    <row r="32" spans="1:25" x14ac:dyDescent="0.3">
      <c r="A32" s="35" t="s">
        <v>49</v>
      </c>
      <c r="B32" s="21">
        <f>ROUND(96*$B$30,0)</f>
        <v>354432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85</v>
      </c>
      <c r="B35" s="155">
        <v>1</v>
      </c>
    </row>
    <row r="36" spans="1:5" ht="18.75" customHeight="1" x14ac:dyDescent="0.3">
      <c r="A36" s="154" t="s">
        <v>86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algorithmName="SHA-512" hashValue="gKcxghQUKNFcbiRxga3HIFzeaIH+IW0xlB0wsxDXENExBuMqm1aRDk0t/04FzHcHXhfSMwzZFYJ5WBtKBcpy3g==" saltValue="bMFt4OzB7JSa8WbcJhZ59g==" spinCount="100000" sheet="1" formatRows="0" insertColumns="0" insertRows="0" insertHyperlinks="0" deleteColumns="0" deleteRows="0" selectLockedCells="1" sort="0" autoFilter="0" pivotTables="0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2024 г</vt:lpstr>
      <vt:lpstr>Расчет</vt:lpstr>
      <vt:lpstr>формула</vt:lpstr>
      <vt:lpstr>'2024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2022-11-14T03:10:28Z</cp:lastPrinted>
  <dcterms:created xsi:type="dcterms:W3CDTF">2017-04-19T13:48:19Z</dcterms:created>
  <dcterms:modified xsi:type="dcterms:W3CDTF">2023-11-10T05:37:50Z</dcterms:modified>
</cp:coreProperties>
</file>